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VUA" sheetId="1" r:id="rId1"/>
  </sheets>
  <definedNames>
    <definedName name="Excel_BuiltIn_Print_Area">#REF!</definedName>
  </definedNames>
  <calcPr fullCalcOnLoad="1" iterate="1" iterateCount="100" iterateDelta="0"/>
</workbook>
</file>

<file path=xl/sharedStrings.xml><?xml version="1.0" encoding="utf-8"?>
<sst xmlns="http://schemas.openxmlformats.org/spreadsheetml/2006/main" count="186" uniqueCount="90">
  <si>
    <t>HS-Ulm</t>
  </si>
  <si>
    <t>Dipl.-Ing. Klaus-Dieter Ziegengeist</t>
  </si>
  <si>
    <t>Rechenhilfen</t>
  </si>
  <si>
    <t>_</t>
  </si>
  <si>
    <t>V0: Ausgangsgeschwindigkeit in km/h</t>
  </si>
  <si>
    <t>V</t>
  </si>
  <si>
    <t>a</t>
  </si>
  <si>
    <t>s</t>
  </si>
  <si>
    <t>rückwärts</t>
  </si>
  <si>
    <t>v0</t>
  </si>
  <si>
    <t>V0</t>
  </si>
  <si>
    <t>t</t>
  </si>
  <si>
    <t xml:space="preserve"> --&gt;</t>
  </si>
  <si>
    <t>V: Endgeschwindigkeit in km/h</t>
  </si>
  <si>
    <t>vorwärts</t>
  </si>
  <si>
    <t>v</t>
  </si>
  <si>
    <t>v: Endgeschwindigkeit in m/s</t>
  </si>
  <si>
    <t>a: Beschleunigung / Verzögerung (Vorzeichen -)</t>
  </si>
  <si>
    <t>s: Wegstrecke</t>
  </si>
  <si>
    <t>t: Zeitspanne</t>
  </si>
  <si>
    <t>Anhalten aus Anfangsgeschwindigkeit</t>
  </si>
  <si>
    <t>Vo</t>
  </si>
  <si>
    <t>tv</t>
  </si>
  <si>
    <t>s(B-H)</t>
  </si>
  <si>
    <t>s(R-H)</t>
  </si>
  <si>
    <t>t(R-H)</t>
  </si>
  <si>
    <t>Weg von Bremsbeginn bis Halt</t>
  </si>
  <si>
    <t>Weg von Reaktion bis Halt</t>
  </si>
  <si>
    <t>Vorbremszeit (Reaktion bis Bremseinsatz / Spurzeichnung)</t>
  </si>
  <si>
    <t>Vermeidbarkeit (räumlich)</t>
  </si>
  <si>
    <t>s(R-K)</t>
  </si>
  <si>
    <t>v(zul)</t>
  </si>
  <si>
    <t>V(zul)</t>
  </si>
  <si>
    <t>Wegstrecke von Reaktion bis Kollision)</t>
  </si>
  <si>
    <t>Vermeidbarkeit (zeitlich)</t>
  </si>
  <si>
    <r>
      <rPr>
        <sz val="10"/>
        <color indexed="8"/>
        <rFont val="Lucida Sans Unicode"/>
        <family val="2"/>
      </rPr>
      <t xml:space="preserve"> </t>
    </r>
    <r>
      <rPr>
        <sz val="10"/>
        <color indexed="8"/>
        <rFont val="Arial"/>
        <family val="2"/>
      </rPr>
      <t>sG(K-S)</t>
    </r>
  </si>
  <si>
    <r>
      <rPr>
        <sz val="10"/>
        <color indexed="8"/>
        <rFont val="Lucida Sans Unicode"/>
        <family val="2"/>
      </rPr>
      <t xml:space="preserve"> </t>
    </r>
    <r>
      <rPr>
        <sz val="10"/>
        <color indexed="8"/>
        <rFont val="Arial"/>
        <family val="2"/>
      </rPr>
      <t>vG(K)</t>
    </r>
  </si>
  <si>
    <t>aG</t>
  </si>
  <si>
    <t>DELTA tG</t>
  </si>
  <si>
    <t>t(R-K)</t>
  </si>
  <si>
    <t>am</t>
  </si>
  <si>
    <r>
      <rPr>
        <sz val="10"/>
        <color indexed="8"/>
        <rFont val="Lucida Sans Unicode"/>
        <family val="2"/>
      </rPr>
      <t xml:space="preserve"> </t>
    </r>
    <r>
      <rPr>
        <sz val="10"/>
        <color indexed="8"/>
        <rFont val="Arial"/>
        <family val="2"/>
      </rPr>
      <t>Vth (+)</t>
    </r>
  </si>
  <si>
    <t>Vth muss positiv sein, sonst ist K nicht vermeidbar</t>
  </si>
  <si>
    <t>Weg des Unfallgegners vom Kollisionspunkt. in Sicherheit</t>
  </si>
  <si>
    <t>Geschwindigkeit des Unfallgegners in m/s</t>
  </si>
  <si>
    <t>Beschleunigung / Verzögerung des Unfallgegners</t>
  </si>
  <si>
    <t>DELTA tG:</t>
  </si>
  <si>
    <t>Räumzeit des Unfallgegners</t>
  </si>
  <si>
    <t>Vth</t>
  </si>
  <si>
    <t>theoretische Restgeschwindigkeit, mit der der Kollisionspunkt passiert wird, nachdem der Unfallgegner geräumt hat</t>
  </si>
  <si>
    <t>Längs- u. Querbeschleunigung</t>
  </si>
  <si>
    <r>
      <rPr>
        <sz val="10"/>
        <color indexed="8"/>
        <rFont val="Lucida Sans Unicode"/>
        <family val="2"/>
      </rPr>
      <t xml:space="preserve">  </t>
    </r>
    <r>
      <rPr>
        <sz val="10"/>
        <color indexed="8"/>
        <rFont val="Arial"/>
        <family val="2"/>
      </rPr>
      <t>a(max)</t>
    </r>
  </si>
  <si>
    <t>a(1)</t>
  </si>
  <si>
    <t>a(2)</t>
  </si>
  <si>
    <t>(Kamm'scher Kreis)</t>
  </si>
  <si>
    <t>Querbeschleunigung</t>
  </si>
  <si>
    <t>R</t>
  </si>
  <si>
    <t>a quer</t>
  </si>
  <si>
    <t>Kurvenradius und Grenzgeschwindigkeit</t>
  </si>
  <si>
    <t xml:space="preserve">  Sehne</t>
  </si>
  <si>
    <t xml:space="preserve">  Höhe</t>
  </si>
  <si>
    <t xml:space="preserve"> a(quer)</t>
  </si>
  <si>
    <t>Radius</t>
  </si>
  <si>
    <t>vmax</t>
  </si>
  <si>
    <t>Vmax</t>
  </si>
  <si>
    <t>Anstoßverlust (Fußgänger-Unfall):</t>
  </si>
  <si>
    <t>m(FZ)</t>
  </si>
  <si>
    <t>m(FG)</t>
  </si>
  <si>
    <t>Anstoßfaktor</t>
  </si>
  <si>
    <t>Vk'</t>
  </si>
  <si>
    <t>vk</t>
  </si>
  <si>
    <t>Vk</t>
  </si>
  <si>
    <t xml:space="preserve"> </t>
  </si>
  <si>
    <t>Kollisionsanalyse (eindimensional):</t>
  </si>
  <si>
    <t>Masse</t>
  </si>
  <si>
    <t>EES</t>
  </si>
  <si>
    <t>DELTA-V</t>
  </si>
  <si>
    <t>FZG 1:</t>
  </si>
  <si>
    <t>FZG 2:</t>
  </si>
  <si>
    <t xml:space="preserve">Kontrolle: </t>
  </si>
  <si>
    <t>bei Auffahrkollision mit EES 1</t>
  </si>
  <si>
    <t>K-Faktor:</t>
  </si>
  <si>
    <t>-</t>
  </si>
  <si>
    <t xml:space="preserve">      Zwischenergebnisse EES 1</t>
  </si>
  <si>
    <t>m2/(m1+m2)</t>
  </si>
  <si>
    <t>Summe E(def)</t>
  </si>
  <si>
    <t>m1/m2</t>
  </si>
  <si>
    <t>(1/M1+1/M2)</t>
  </si>
  <si>
    <t>(v1'-v2')^2</t>
  </si>
  <si>
    <t>WURZEL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</si>
</sst>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;[RED]\-0.00"/>
    <numFmt numFmtId="166" formatCode="0.000;[RED]\-0.000"/>
    <numFmt numFmtId="167" formatCode="0.00"/>
    <numFmt numFmtId="168" formatCode="0"/>
  </numFmts>
  <fonts count="7">
    <font>
      <sz val="12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Lucida Sans Unicode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5" fontId="2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4" fontId="4" fillId="0" borderId="0" xfId="0" applyFont="1" applyFill="1" applyAlignment="1">
      <alignment/>
    </xf>
    <xf numFmtId="165" fontId="2" fillId="0" borderId="0" xfId="0" applyNumberFormat="1" applyFont="1" applyFill="1" applyBorder="1" applyAlignment="1">
      <alignment/>
    </xf>
    <xf numFmtId="164" fontId="0" fillId="0" borderId="0" xfId="0" applyFill="1" applyAlignment="1">
      <alignment/>
    </xf>
    <xf numFmtId="165" fontId="2" fillId="0" borderId="0" xfId="0" applyNumberFormat="1" applyFont="1" applyFill="1" applyBorder="1" applyAlignment="1">
      <alignment horizontal="fill"/>
    </xf>
    <xf numFmtId="165" fontId="2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165" fontId="2" fillId="3" borderId="0" xfId="0" applyNumberFormat="1" applyFont="1" applyFill="1" applyBorder="1" applyAlignment="1">
      <alignment/>
    </xf>
    <xf numFmtId="164" fontId="0" fillId="3" borderId="0" xfId="0" applyFill="1" applyAlignment="1">
      <alignment/>
    </xf>
    <xf numFmtId="165" fontId="2" fillId="3" borderId="0" xfId="0" applyNumberFormat="1" applyFont="1" applyFill="1" applyBorder="1" applyAlignment="1">
      <alignment horizontal="center"/>
    </xf>
    <xf numFmtId="165" fontId="2" fillId="3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4" fontId="1" fillId="3" borderId="0" xfId="0" applyFont="1" applyFill="1" applyAlignment="1">
      <alignment/>
    </xf>
    <xf numFmtId="165" fontId="5" fillId="3" borderId="0" xfId="0" applyNumberFormat="1" applyFont="1" applyFill="1" applyBorder="1" applyAlignment="1">
      <alignment horizontal="center"/>
    </xf>
    <xf numFmtId="165" fontId="5" fillId="3" borderId="0" xfId="0" applyNumberFormat="1" applyFont="1" applyFill="1" applyBorder="1" applyAlignment="1">
      <alignment/>
    </xf>
    <xf numFmtId="164" fontId="1" fillId="3" borderId="0" xfId="0" applyFont="1" applyFill="1" applyAlignment="1">
      <alignment horizontal="center"/>
    </xf>
    <xf numFmtId="164" fontId="2" fillId="3" borderId="0" xfId="0" applyFont="1" applyFill="1" applyAlignment="1">
      <alignment/>
    </xf>
    <xf numFmtId="164" fontId="2" fillId="3" borderId="0" xfId="0" applyFont="1" applyFill="1" applyAlignment="1">
      <alignment horizontal="right"/>
    </xf>
    <xf numFmtId="164" fontId="2" fillId="3" borderId="0" xfId="0" applyFont="1" applyFill="1" applyAlignment="1">
      <alignment horizontal="center"/>
    </xf>
    <xf numFmtId="164" fontId="6" fillId="3" borderId="0" xfId="0" applyFont="1" applyFill="1" applyAlignment="1">
      <alignment/>
    </xf>
    <xf numFmtId="167" fontId="2" fillId="3" borderId="0" xfId="0" applyNumberFormat="1" applyFont="1" applyFill="1" applyAlignment="1">
      <alignment horizontal="center"/>
    </xf>
    <xf numFmtId="168" fontId="2" fillId="3" borderId="0" xfId="0" applyNumberFormat="1" applyFont="1" applyFill="1" applyBorder="1" applyAlignment="1">
      <alignment/>
    </xf>
    <xf numFmtId="165" fontId="2" fillId="3" borderId="0" xfId="0" applyNumberFormat="1" applyFont="1" applyFill="1" applyBorder="1" applyAlignment="1">
      <alignment horizontal="fill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workbookViewId="0" topLeftCell="A1">
      <selection activeCell="I73" sqref="I73"/>
    </sheetView>
  </sheetViews>
  <sheetFormatPr defaultColWidth="8.88671875" defaultRowHeight="12.75" customHeight="1"/>
  <cols>
    <col min="1" max="16384" width="8.6640625" style="1" customWidth="1"/>
  </cols>
  <sheetData>
    <row r="1" spans="1:19" ht="12.75" customHeight="1">
      <c r="A1" s="2" t="s">
        <v>0</v>
      </c>
      <c r="B1" s="2" t="s">
        <v>1</v>
      </c>
      <c r="C1" s="2"/>
      <c r="D1" s="2"/>
      <c r="E1" s="3" t="s">
        <v>2</v>
      </c>
      <c r="F1" s="4"/>
      <c r="G1" s="4"/>
      <c r="H1" s="4"/>
      <c r="I1" s="4"/>
      <c r="J1" s="4"/>
      <c r="K1" s="4"/>
      <c r="L1" s="5"/>
      <c r="M1" s="5"/>
      <c r="N1" s="5"/>
      <c r="O1" s="5"/>
      <c r="P1" s="5"/>
      <c r="Q1" s="5"/>
      <c r="R1" s="5"/>
      <c r="S1" s="5"/>
    </row>
    <row r="2" spans="1:11" ht="12.75" customHeight="1">
      <c r="A2" s="6" t="s">
        <v>3</v>
      </c>
      <c r="B2" s="6" t="s">
        <v>3</v>
      </c>
      <c r="C2" s="6" t="s">
        <v>3</v>
      </c>
      <c r="D2" s="6" t="s">
        <v>3</v>
      </c>
      <c r="E2" s="6" t="s">
        <v>3</v>
      </c>
      <c r="F2" s="6" t="s">
        <v>3</v>
      </c>
      <c r="G2" s="6" t="s">
        <v>3</v>
      </c>
      <c r="H2" s="6" t="s">
        <v>3</v>
      </c>
      <c r="I2" s="6" t="s">
        <v>3</v>
      </c>
      <c r="J2" s="6" t="s">
        <v>3</v>
      </c>
      <c r="K2" s="6" t="s">
        <v>3</v>
      </c>
    </row>
    <row r="3" spans="1:11" ht="12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 customHeight="1">
      <c r="A4" s="7" t="s">
        <v>4</v>
      </c>
      <c r="B4" s="4"/>
      <c r="C4" s="4"/>
      <c r="D4" s="4"/>
      <c r="E4" s="8" t="s">
        <v>5</v>
      </c>
      <c r="F4" s="8" t="s">
        <v>6</v>
      </c>
      <c r="G4" s="8" t="s">
        <v>7</v>
      </c>
      <c r="H4" s="9" t="s">
        <v>8</v>
      </c>
      <c r="I4" s="8" t="s">
        <v>9</v>
      </c>
      <c r="J4" s="8" t="s">
        <v>10</v>
      </c>
      <c r="K4" s="8" t="s">
        <v>11</v>
      </c>
    </row>
    <row r="5" spans="1:11" ht="12.75" customHeight="1">
      <c r="A5" s="5"/>
      <c r="B5" s="4"/>
      <c r="C5" s="4"/>
      <c r="D5" s="4"/>
      <c r="E5" s="4">
        <v>0</v>
      </c>
      <c r="F5" s="4">
        <v>-7</v>
      </c>
      <c r="G5" s="4">
        <v>10</v>
      </c>
      <c r="H5" s="9" t="s">
        <v>12</v>
      </c>
      <c r="I5" s="4">
        <f>SQRT(E5*E5/12.96-2*F5*G5)</f>
        <v>11.832159566199232</v>
      </c>
      <c r="J5" s="4">
        <f>3.6*I5</f>
        <v>42.595774438317235</v>
      </c>
      <c r="K5" s="4">
        <f>IF(F5=0,3.6*G5/E5,ABS((I5-E5/3.6)/F5))</f>
        <v>1.6903085094570331</v>
      </c>
    </row>
    <row r="6" spans="1:11" ht="12.75" customHeight="1">
      <c r="A6" s="7" t="s">
        <v>13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 customHeight="1">
      <c r="A7" s="5"/>
      <c r="B7" s="4"/>
      <c r="C7" s="5"/>
      <c r="D7" s="5"/>
      <c r="E7" s="8" t="s">
        <v>10</v>
      </c>
      <c r="F7" s="8" t="s">
        <v>6</v>
      </c>
      <c r="G7" s="8" t="s">
        <v>7</v>
      </c>
      <c r="H7" s="9" t="s">
        <v>14</v>
      </c>
      <c r="I7" s="8" t="s">
        <v>15</v>
      </c>
      <c r="J7" s="8" t="s">
        <v>5</v>
      </c>
      <c r="K7" s="8" t="s">
        <v>11</v>
      </c>
    </row>
    <row r="8" spans="1:11" ht="12.75" customHeight="1">
      <c r="A8" s="7" t="s">
        <v>16</v>
      </c>
      <c r="B8" s="5"/>
      <c r="C8" s="5"/>
      <c r="D8" s="5"/>
      <c r="E8" s="4">
        <v>0</v>
      </c>
      <c r="F8" s="4">
        <v>7</v>
      </c>
      <c r="G8" s="4">
        <v>10</v>
      </c>
      <c r="H8" s="9" t="s">
        <v>12</v>
      </c>
      <c r="I8" s="4">
        <f>SQRT(E8*E8/12.96+2*F8*G8)</f>
        <v>11.832159566199232</v>
      </c>
      <c r="J8" s="4">
        <f>3.6*I8</f>
        <v>42.595774438317235</v>
      </c>
      <c r="K8" s="4">
        <f>IF(F8=0,3.6*G8/E8,(I8-E8/3.6)/F8)</f>
        <v>1.6903085094570331</v>
      </c>
    </row>
    <row r="9" spans="1:11" ht="12.75" customHeight="1">
      <c r="A9" s="4"/>
      <c r="B9" s="4"/>
      <c r="C9" s="5"/>
      <c r="D9" s="5"/>
      <c r="E9" s="5"/>
      <c r="F9" s="5"/>
      <c r="G9" s="5"/>
      <c r="H9" s="5"/>
      <c r="I9" s="5"/>
      <c r="J9" s="5"/>
      <c r="K9" s="5"/>
    </row>
    <row r="10" spans="1:11" ht="12.75" customHeight="1">
      <c r="A10" s="7" t="s">
        <v>17</v>
      </c>
      <c r="B10" s="4"/>
      <c r="C10" s="5"/>
      <c r="D10" s="5"/>
      <c r="E10" s="8" t="s">
        <v>10</v>
      </c>
      <c r="F10" s="8" t="s">
        <v>6</v>
      </c>
      <c r="G10" s="8" t="s">
        <v>11</v>
      </c>
      <c r="H10" s="8" t="s">
        <v>12</v>
      </c>
      <c r="I10" s="8" t="s">
        <v>15</v>
      </c>
      <c r="J10" s="8" t="s">
        <v>5</v>
      </c>
      <c r="K10" s="8" t="s">
        <v>7</v>
      </c>
    </row>
    <row r="11" spans="1:11" ht="12.75" customHeight="1">
      <c r="A11" s="5"/>
      <c r="B11" s="4"/>
      <c r="C11" s="5"/>
      <c r="D11" s="5"/>
      <c r="E11" s="4">
        <v>0</v>
      </c>
      <c r="F11" s="4">
        <v>4</v>
      </c>
      <c r="G11" s="4">
        <v>2</v>
      </c>
      <c r="H11" s="8" t="s">
        <v>12</v>
      </c>
      <c r="I11" s="4">
        <f>E11/3.6+F11*G11</f>
        <v>8</v>
      </c>
      <c r="J11" s="4">
        <f>3.6*I11</f>
        <v>28.8</v>
      </c>
      <c r="K11" s="4">
        <f>IF(F11=0,E11*G11/3.6,(I11*I11-E11*E11/12.96)/2/F11)</f>
        <v>8</v>
      </c>
    </row>
    <row r="12" spans="1:11" ht="12.75" customHeight="1">
      <c r="A12" s="7" t="s">
        <v>18</v>
      </c>
      <c r="B12" s="4"/>
      <c r="C12" s="5"/>
      <c r="D12" s="5"/>
      <c r="E12" s="4"/>
      <c r="F12" s="4"/>
      <c r="G12" s="4"/>
      <c r="H12" s="7"/>
      <c r="I12" s="4"/>
      <c r="J12" s="4"/>
      <c r="K12" s="4"/>
    </row>
    <row r="13" spans="1:11" ht="12.75" customHeight="1">
      <c r="A13" s="5"/>
      <c r="B13" s="4"/>
      <c r="C13" s="5"/>
      <c r="D13" s="5"/>
      <c r="E13" s="8" t="s">
        <v>10</v>
      </c>
      <c r="F13" s="8" t="s">
        <v>7</v>
      </c>
      <c r="G13" s="8" t="s">
        <v>11</v>
      </c>
      <c r="H13" s="8" t="s">
        <v>12</v>
      </c>
      <c r="I13" s="8" t="s">
        <v>6</v>
      </c>
      <c r="J13" s="8" t="s">
        <v>15</v>
      </c>
      <c r="K13" s="8" t="s">
        <v>5</v>
      </c>
    </row>
    <row r="14" spans="1:11" ht="12.75" customHeight="1">
      <c r="A14" s="7" t="s">
        <v>19</v>
      </c>
      <c r="B14" s="4"/>
      <c r="C14" s="5"/>
      <c r="D14" s="5"/>
      <c r="E14" s="4">
        <v>0</v>
      </c>
      <c r="F14" s="4">
        <v>20</v>
      </c>
      <c r="G14" s="4">
        <v>3</v>
      </c>
      <c r="H14" s="8" t="s">
        <v>12</v>
      </c>
      <c r="I14" s="4">
        <f>2*(F14-E14/3.6*G14)/G14/G14</f>
        <v>4.444444444444445</v>
      </c>
      <c r="J14" s="4">
        <f>E14/3.6+I14*G14</f>
        <v>13.333333333333334</v>
      </c>
      <c r="K14" s="4">
        <f>3.6*J14</f>
        <v>48</v>
      </c>
    </row>
    <row r="15" spans="1:11" ht="12.75" customHeight="1">
      <c r="A15" s="5"/>
      <c r="B15" s="4"/>
      <c r="C15" s="5"/>
      <c r="D15" s="5"/>
      <c r="E15" s="4"/>
      <c r="F15" s="4"/>
      <c r="G15" s="4"/>
      <c r="H15" s="4"/>
      <c r="I15" s="4"/>
      <c r="J15" s="4"/>
      <c r="K15" s="4"/>
    </row>
    <row r="16" spans="1:11" ht="12.75" customHeight="1">
      <c r="A16" s="5"/>
      <c r="B16" s="4"/>
      <c r="C16" s="5"/>
      <c r="D16" s="5"/>
      <c r="E16" s="8" t="s">
        <v>10</v>
      </c>
      <c r="F16" s="8" t="s">
        <v>5</v>
      </c>
      <c r="G16" s="8" t="s">
        <v>6</v>
      </c>
      <c r="H16" s="8" t="s">
        <v>12</v>
      </c>
      <c r="I16" s="8" t="s">
        <v>7</v>
      </c>
      <c r="J16" s="8" t="s">
        <v>11</v>
      </c>
      <c r="K16" s="4"/>
    </row>
    <row r="17" spans="1:11" ht="12.75" customHeight="1">
      <c r="A17" s="5"/>
      <c r="B17" s="5"/>
      <c r="C17" s="5"/>
      <c r="D17" s="5"/>
      <c r="E17" s="4">
        <v>50</v>
      </c>
      <c r="F17" s="4">
        <v>0</v>
      </c>
      <c r="G17" s="4">
        <v>-7</v>
      </c>
      <c r="H17" s="8" t="s">
        <v>12</v>
      </c>
      <c r="I17" s="4">
        <f>(F17*F17-E17*E17)/12.96/2/G17</f>
        <v>13.778659611992945</v>
      </c>
      <c r="J17" s="4">
        <f>(F17-E17)/3.6/G17</f>
        <v>1.9841269841269842</v>
      </c>
      <c r="K17" s="4"/>
    </row>
    <row r="18" spans="1:11" ht="12.75" customHeight="1">
      <c r="A18" s="4"/>
      <c r="B18" s="4"/>
      <c r="C18" s="5"/>
      <c r="D18" s="5"/>
      <c r="E18" s="4"/>
      <c r="F18" s="4"/>
      <c r="G18" s="4"/>
      <c r="H18" s="4"/>
      <c r="I18" s="4"/>
      <c r="J18" s="4"/>
      <c r="K18" s="4"/>
    </row>
    <row r="19" spans="1:11" ht="12.75" customHeight="1">
      <c r="A19" s="4"/>
      <c r="B19" s="4"/>
      <c r="C19" s="5"/>
      <c r="D19" s="5"/>
      <c r="E19" s="8" t="s">
        <v>10</v>
      </c>
      <c r="F19" s="8" t="s">
        <v>5</v>
      </c>
      <c r="G19" s="8" t="s">
        <v>7</v>
      </c>
      <c r="H19" s="8" t="s">
        <v>12</v>
      </c>
      <c r="I19" s="8" t="s">
        <v>6</v>
      </c>
      <c r="J19" s="8" t="s">
        <v>11</v>
      </c>
      <c r="K19" s="4"/>
    </row>
    <row r="20" spans="1:11" ht="12.75" customHeight="1">
      <c r="A20" s="8"/>
      <c r="B20" s="4"/>
      <c r="C20" s="5"/>
      <c r="D20" s="5"/>
      <c r="E20" s="4">
        <v>0</v>
      </c>
      <c r="F20" s="4">
        <v>50</v>
      </c>
      <c r="G20" s="4">
        <v>50</v>
      </c>
      <c r="H20" s="8" t="s">
        <v>12</v>
      </c>
      <c r="I20" s="4">
        <f>(F20*F20-E20*E20)/12.96/2/G20</f>
        <v>1.929012345679012</v>
      </c>
      <c r="J20" s="4">
        <f>IF(E20=F20,3.6*G20/E20,(F20-E20)/3.6/I20)</f>
        <v>7.200000000000001</v>
      </c>
      <c r="K20" s="4"/>
    </row>
    <row r="21" spans="1:11" ht="12.75" customHeight="1">
      <c r="A21" s="8"/>
      <c r="B21" s="4"/>
      <c r="C21" s="5"/>
      <c r="D21" s="5"/>
      <c r="E21" s="4"/>
      <c r="F21" s="4"/>
      <c r="G21" s="4"/>
      <c r="H21" s="4"/>
      <c r="I21" s="4"/>
      <c r="J21" s="4"/>
      <c r="K21" s="4"/>
    </row>
    <row r="22" spans="1:11" ht="12.75" customHeight="1">
      <c r="A22" s="8"/>
      <c r="B22" s="4"/>
      <c r="C22" s="5"/>
      <c r="D22" s="5"/>
      <c r="E22" s="8" t="s">
        <v>10</v>
      </c>
      <c r="F22" s="8" t="s">
        <v>5</v>
      </c>
      <c r="G22" s="8" t="s">
        <v>11</v>
      </c>
      <c r="H22" s="8" t="s">
        <v>12</v>
      </c>
      <c r="I22" s="8" t="s">
        <v>6</v>
      </c>
      <c r="J22" s="8" t="s">
        <v>7</v>
      </c>
      <c r="K22" s="4"/>
    </row>
    <row r="23" spans="1:11" ht="12.75" customHeight="1">
      <c r="A23" s="4"/>
      <c r="B23" s="4"/>
      <c r="C23" s="5"/>
      <c r="D23" s="5"/>
      <c r="E23" s="4">
        <v>0</v>
      </c>
      <c r="F23" s="4">
        <v>100</v>
      </c>
      <c r="G23" s="4">
        <v>10</v>
      </c>
      <c r="H23" s="8" t="s">
        <v>12</v>
      </c>
      <c r="I23" s="4">
        <f>(F23-E23)/3.6/G23</f>
        <v>2.7777777777777777</v>
      </c>
      <c r="J23" s="4">
        <f>IF(E23=F23,E23*G23/3.6,(F23*F23-E23*E23)/12.96/2/I23)</f>
        <v>138.88888888888889</v>
      </c>
      <c r="K23" s="4"/>
    </row>
    <row r="24" spans="1:11" ht="12.75" customHeight="1">
      <c r="A24" s="8"/>
      <c r="B24" s="4"/>
      <c r="C24" s="5"/>
      <c r="D24" s="5"/>
      <c r="E24" s="4"/>
      <c r="F24" s="4"/>
      <c r="G24" s="4"/>
      <c r="H24" s="4"/>
      <c r="I24" s="4"/>
      <c r="J24" s="4"/>
      <c r="K24" s="4"/>
    </row>
    <row r="25" spans="1:11" ht="12.75" customHeight="1">
      <c r="A25" s="8"/>
      <c r="B25" s="4"/>
      <c r="C25" s="5"/>
      <c r="D25" s="5"/>
      <c r="E25" s="4"/>
      <c r="F25" s="4"/>
      <c r="G25" s="4"/>
      <c r="H25" s="4"/>
      <c r="I25" s="4"/>
      <c r="J25" s="4"/>
      <c r="K25" s="4"/>
    </row>
    <row r="26" spans="1:11" ht="12.75" customHeight="1">
      <c r="A26" s="10" t="s">
        <v>20</v>
      </c>
      <c r="B26" s="10"/>
      <c r="C26" s="11"/>
      <c r="D26" s="11"/>
      <c r="E26" s="12" t="s">
        <v>21</v>
      </c>
      <c r="F26" s="12" t="s">
        <v>6</v>
      </c>
      <c r="G26" s="12" t="s">
        <v>22</v>
      </c>
      <c r="H26" s="12" t="s">
        <v>12</v>
      </c>
      <c r="I26" s="12" t="s">
        <v>23</v>
      </c>
      <c r="J26" s="12" t="s">
        <v>24</v>
      </c>
      <c r="K26" s="12" t="s">
        <v>25</v>
      </c>
    </row>
    <row r="27" spans="1:11" ht="12.75" customHeight="1">
      <c r="A27" s="12" t="s">
        <v>23</v>
      </c>
      <c r="B27" s="13" t="s">
        <v>26</v>
      </c>
      <c r="C27" s="11"/>
      <c r="D27" s="11"/>
      <c r="E27" s="10">
        <v>95</v>
      </c>
      <c r="F27" s="10">
        <v>-7</v>
      </c>
      <c r="G27" s="10">
        <v>1</v>
      </c>
      <c r="H27" s="12" t="s">
        <v>12</v>
      </c>
      <c r="I27" s="10">
        <f>-E27*E27/12.96/2/F27</f>
        <v>49.74096119929453</v>
      </c>
      <c r="J27" s="10">
        <f>-E27*E27/12.96/2/F27+E27*G27/3.6</f>
        <v>76.12985008818342</v>
      </c>
      <c r="K27" s="10">
        <f>G27-E27/3.6/F27</f>
        <v>4.76984126984127</v>
      </c>
    </row>
    <row r="28" spans="1:11" ht="12.75" customHeight="1">
      <c r="A28" s="12" t="s">
        <v>24</v>
      </c>
      <c r="B28" s="13" t="s">
        <v>27</v>
      </c>
      <c r="C28" s="13"/>
      <c r="D28" s="13"/>
      <c r="E28" s="10"/>
      <c r="F28" s="10"/>
      <c r="G28" s="10"/>
      <c r="H28" s="10"/>
      <c r="I28" s="10"/>
      <c r="J28" s="10"/>
      <c r="K28" s="10"/>
    </row>
    <row r="29" spans="1:11" ht="12.75" customHeight="1">
      <c r="A29" s="12" t="s">
        <v>22</v>
      </c>
      <c r="B29" s="13" t="s">
        <v>28</v>
      </c>
      <c r="C29" s="11"/>
      <c r="D29" s="11"/>
      <c r="E29" s="10"/>
      <c r="F29" s="10"/>
      <c r="G29" s="10"/>
      <c r="H29" s="10"/>
      <c r="I29" s="10"/>
      <c r="J29" s="10"/>
      <c r="K29" s="10"/>
    </row>
    <row r="30" spans="1:9" ht="12.75" customHeight="1">
      <c r="A30" s="5"/>
      <c r="B30" s="5"/>
      <c r="C30" s="4"/>
      <c r="D30" s="4"/>
      <c r="E30" s="4"/>
      <c r="F30" s="8"/>
      <c r="G30" s="4"/>
      <c r="H30" s="14"/>
      <c r="I30" s="4"/>
    </row>
    <row r="31" spans="1:11" ht="12.75" customHeight="1">
      <c r="A31" s="10" t="s">
        <v>29</v>
      </c>
      <c r="B31" s="10"/>
      <c r="C31" s="11"/>
      <c r="D31" s="11"/>
      <c r="E31" s="12" t="s">
        <v>30</v>
      </c>
      <c r="F31" s="12" t="s">
        <v>6</v>
      </c>
      <c r="G31" s="12" t="s">
        <v>22</v>
      </c>
      <c r="H31" s="12" t="s">
        <v>12</v>
      </c>
      <c r="I31" s="12" t="s">
        <v>31</v>
      </c>
      <c r="J31" s="12" t="s">
        <v>32</v>
      </c>
      <c r="K31" s="4"/>
    </row>
    <row r="32" spans="1:10" ht="12.75" customHeight="1">
      <c r="A32" s="12" t="s">
        <v>30</v>
      </c>
      <c r="B32" s="10" t="s">
        <v>33</v>
      </c>
      <c r="C32" s="11"/>
      <c r="D32" s="11"/>
      <c r="E32" s="10">
        <v>34</v>
      </c>
      <c r="F32" s="10">
        <v>-8</v>
      </c>
      <c r="G32" s="10">
        <v>1</v>
      </c>
      <c r="H32" s="12" t="s">
        <v>12</v>
      </c>
      <c r="I32" s="10">
        <f>SQRT(F32*G32*F32*G32-2*F32*E32)+F32*G32</f>
        <v>16.657656011875904</v>
      </c>
      <c r="J32" s="10">
        <f>3.6*I32</f>
        <v>59.96756164275325</v>
      </c>
    </row>
    <row r="33" spans="1:11" ht="12.75" customHeight="1">
      <c r="A33" s="5"/>
      <c r="B33" s="5"/>
      <c r="C33" s="5"/>
      <c r="D33" s="5"/>
      <c r="E33" s="5"/>
      <c r="F33" s="5"/>
      <c r="G33" s="5"/>
      <c r="H33" s="5"/>
      <c r="I33" s="5"/>
      <c r="J33" s="4"/>
      <c r="K33" s="4"/>
    </row>
    <row r="34" spans="1:11" ht="12.75" customHeight="1">
      <c r="A34" s="10" t="s">
        <v>34</v>
      </c>
      <c r="B34" s="11"/>
      <c r="C34" s="15"/>
      <c r="D34" s="15"/>
      <c r="E34" s="16" t="s">
        <v>35</v>
      </c>
      <c r="F34" s="16" t="s">
        <v>36</v>
      </c>
      <c r="G34" s="12" t="s">
        <v>37</v>
      </c>
      <c r="H34" s="12" t="s">
        <v>12</v>
      </c>
      <c r="I34" s="10" t="s">
        <v>38</v>
      </c>
      <c r="J34" s="10"/>
      <c r="K34" s="10"/>
    </row>
    <row r="35" spans="1:11" ht="12.75" customHeight="1">
      <c r="A35" s="11"/>
      <c r="B35" s="11"/>
      <c r="C35" s="11"/>
      <c r="D35" s="11"/>
      <c r="E35" s="10">
        <v>1</v>
      </c>
      <c r="F35" s="10">
        <v>5</v>
      </c>
      <c r="G35" s="10">
        <f>F24</f>
        <v>0</v>
      </c>
      <c r="H35" s="12" t="s">
        <v>12</v>
      </c>
      <c r="I35" s="10">
        <f>IF(G35=0,E35/F35,(-F35+SQRT(F35*F35+2*G35*E35))/G35)</f>
        <v>0.2</v>
      </c>
      <c r="J35" s="10"/>
      <c r="K35" s="10"/>
    </row>
    <row r="36" spans="1:11" ht="12.75" customHeight="1">
      <c r="A36" s="11"/>
      <c r="B36" s="11"/>
      <c r="C36" s="11"/>
      <c r="D36" s="11"/>
      <c r="E36" s="11"/>
      <c r="F36" s="11"/>
      <c r="G36" s="11"/>
      <c r="H36" s="11"/>
      <c r="I36" s="11"/>
      <c r="J36" s="10"/>
      <c r="K36" s="10"/>
    </row>
    <row r="37" spans="1:11" ht="12.75" customHeight="1">
      <c r="A37" s="11"/>
      <c r="B37" s="11"/>
      <c r="C37" s="12" t="s">
        <v>21</v>
      </c>
      <c r="D37" s="12" t="s">
        <v>30</v>
      </c>
      <c r="E37" s="12" t="s">
        <v>39</v>
      </c>
      <c r="F37" s="12" t="s">
        <v>40</v>
      </c>
      <c r="G37" s="12" t="s">
        <v>22</v>
      </c>
      <c r="H37" s="12" t="s">
        <v>12</v>
      </c>
      <c r="I37" s="12" t="s">
        <v>31</v>
      </c>
      <c r="J37" s="12" t="s">
        <v>32</v>
      </c>
      <c r="K37" s="17" t="s">
        <v>41</v>
      </c>
    </row>
    <row r="38" spans="1:11" ht="12.75" customHeight="1">
      <c r="A38" s="11"/>
      <c r="B38" s="11"/>
      <c r="C38" s="10">
        <v>85</v>
      </c>
      <c r="D38" s="10">
        <v>70</v>
      </c>
      <c r="E38" s="10">
        <v>4</v>
      </c>
      <c r="F38" s="10">
        <v>-7</v>
      </c>
      <c r="G38" s="10">
        <v>1</v>
      </c>
      <c r="H38" s="12" t="s">
        <v>12</v>
      </c>
      <c r="I38" s="10">
        <f>(-0.5*F38*(E38-G38+I35)*(E38-G38+I35)+D38)/(E38+I35)</f>
        <v>25.2</v>
      </c>
      <c r="J38" s="10">
        <f>3.6*I38</f>
        <v>90.72</v>
      </c>
      <c r="K38" s="10">
        <f>3.6*(I38+F38*(E38-G38+I35))</f>
        <v>10.07999999999999</v>
      </c>
    </row>
    <row r="39" spans="1:11" ht="12.75" customHeight="1">
      <c r="A39" s="11"/>
      <c r="B39" s="11"/>
      <c r="C39" s="11"/>
      <c r="D39" s="11"/>
      <c r="E39" s="11"/>
      <c r="F39" s="11"/>
      <c r="G39" s="11"/>
      <c r="H39" s="15" t="s">
        <v>42</v>
      </c>
      <c r="I39" s="11"/>
      <c r="J39" s="13"/>
      <c r="K39" s="13"/>
    </row>
    <row r="40" spans="1:11" ht="12.75" customHeight="1">
      <c r="A40" s="16" t="s">
        <v>35</v>
      </c>
      <c r="B40" s="15" t="s">
        <v>43</v>
      </c>
      <c r="C40" s="11"/>
      <c r="D40" s="11"/>
      <c r="E40" s="11"/>
      <c r="F40" s="11"/>
      <c r="G40" s="11"/>
      <c r="H40" s="11"/>
      <c r="I40" s="11"/>
      <c r="J40" s="10"/>
      <c r="K40" s="10"/>
    </row>
    <row r="41" spans="1:11" ht="12.75" customHeight="1">
      <c r="A41" s="16" t="s">
        <v>36</v>
      </c>
      <c r="B41" s="15" t="s">
        <v>44</v>
      </c>
      <c r="C41" s="11"/>
      <c r="D41" s="11"/>
      <c r="E41" s="11"/>
      <c r="F41" s="11"/>
      <c r="G41" s="11"/>
      <c r="H41" s="11"/>
      <c r="I41" s="11"/>
      <c r="J41" s="10"/>
      <c r="K41" s="10"/>
    </row>
    <row r="42" spans="1:11" ht="12.75" customHeight="1">
      <c r="A42" s="12" t="s">
        <v>37</v>
      </c>
      <c r="B42" s="15" t="s">
        <v>45</v>
      </c>
      <c r="C42" s="11"/>
      <c r="D42" s="11"/>
      <c r="E42" s="11"/>
      <c r="F42" s="11"/>
      <c r="G42" s="11"/>
      <c r="H42" s="11"/>
      <c r="I42" s="11"/>
      <c r="J42" s="10"/>
      <c r="K42" s="10"/>
    </row>
    <row r="43" spans="1:11" ht="12.75" customHeight="1">
      <c r="A43" s="10" t="s">
        <v>46</v>
      </c>
      <c r="B43" s="15" t="s">
        <v>47</v>
      </c>
      <c r="C43" s="11"/>
      <c r="D43" s="11"/>
      <c r="E43" s="11"/>
      <c r="F43" s="11"/>
      <c r="G43" s="11"/>
      <c r="H43" s="11"/>
      <c r="I43" s="11"/>
      <c r="J43" s="10"/>
      <c r="K43" s="10"/>
    </row>
    <row r="44" spans="1:11" ht="12.75" customHeight="1">
      <c r="A44" s="18" t="s">
        <v>48</v>
      </c>
      <c r="B44" s="15" t="s">
        <v>49</v>
      </c>
      <c r="C44" s="11"/>
      <c r="D44" s="11"/>
      <c r="E44" s="11"/>
      <c r="F44" s="11"/>
      <c r="G44" s="11"/>
      <c r="H44" s="11"/>
      <c r="I44" s="11"/>
      <c r="J44" s="10"/>
      <c r="K44" s="10"/>
    </row>
    <row r="45" spans="1:11" ht="12.75" customHeight="1">
      <c r="A45" s="5"/>
      <c r="B45" s="5"/>
      <c r="C45" s="5"/>
      <c r="D45" s="5"/>
      <c r="E45" s="5"/>
      <c r="F45" s="5"/>
      <c r="G45" s="5"/>
      <c r="H45" s="5"/>
      <c r="I45" s="5"/>
      <c r="J45" s="4"/>
      <c r="K45" s="4"/>
    </row>
    <row r="46" spans="1:11" ht="12.75" customHeight="1">
      <c r="A46" s="10" t="s">
        <v>50</v>
      </c>
      <c r="B46" s="10"/>
      <c r="C46" s="11"/>
      <c r="D46" s="11"/>
      <c r="E46" s="10"/>
      <c r="F46" s="16" t="s">
        <v>51</v>
      </c>
      <c r="G46" s="12" t="s">
        <v>52</v>
      </c>
      <c r="H46" s="12" t="s">
        <v>12</v>
      </c>
      <c r="I46" s="12" t="s">
        <v>53</v>
      </c>
      <c r="J46" s="4"/>
      <c r="K46" s="4"/>
    </row>
    <row r="47" spans="1:11" ht="12.75" customHeight="1">
      <c r="A47" s="10"/>
      <c r="B47" s="10" t="s">
        <v>54</v>
      </c>
      <c r="C47" s="11"/>
      <c r="D47" s="11"/>
      <c r="E47" s="10"/>
      <c r="F47" s="10">
        <v>7</v>
      </c>
      <c r="G47" s="10">
        <v>5</v>
      </c>
      <c r="H47" s="12" t="s">
        <v>12</v>
      </c>
      <c r="I47" s="10">
        <f>SQRT(F47*F47-G47*G47)</f>
        <v>4.898979485566356</v>
      </c>
      <c r="J47" s="4"/>
      <c r="K47" s="4"/>
    </row>
    <row r="48" spans="1:11" ht="12.75" customHeight="1">
      <c r="A48" s="4"/>
      <c r="B48" s="4"/>
      <c r="C48" s="5"/>
      <c r="D48" s="5"/>
      <c r="E48" s="4"/>
      <c r="F48" s="4"/>
      <c r="G48" s="4"/>
      <c r="H48" s="8"/>
      <c r="I48" s="4"/>
      <c r="J48" s="4"/>
      <c r="K48" s="4"/>
    </row>
    <row r="49" spans="1:11" ht="12.75" customHeight="1">
      <c r="A49" s="10" t="s">
        <v>55</v>
      </c>
      <c r="B49" s="10"/>
      <c r="C49" s="11"/>
      <c r="D49" s="11"/>
      <c r="E49" s="12" t="s">
        <v>5</v>
      </c>
      <c r="F49" s="12" t="s">
        <v>15</v>
      </c>
      <c r="G49" s="12" t="s">
        <v>56</v>
      </c>
      <c r="H49" s="12" t="s">
        <v>12</v>
      </c>
      <c r="I49" s="12" t="s">
        <v>57</v>
      </c>
      <c r="J49" s="4"/>
      <c r="K49" s="4"/>
    </row>
    <row r="50" spans="1:11" ht="12.75" customHeight="1">
      <c r="A50" s="10"/>
      <c r="B50" s="10"/>
      <c r="C50" s="11"/>
      <c r="D50" s="11"/>
      <c r="E50" s="10">
        <v>50</v>
      </c>
      <c r="F50" s="10">
        <f>E50/3.6</f>
        <v>13.88888888888889</v>
      </c>
      <c r="G50" s="10">
        <v>30</v>
      </c>
      <c r="H50" s="12" t="s">
        <v>12</v>
      </c>
      <c r="I50" s="10">
        <f>F50*F50/G50</f>
        <v>6.4300411522633745</v>
      </c>
      <c r="J50" s="4"/>
      <c r="K50" s="4"/>
    </row>
    <row r="51" spans="1:11" ht="12.75" customHeight="1">
      <c r="A51" s="4"/>
      <c r="B51" s="4"/>
      <c r="C51" s="5"/>
      <c r="D51" s="5"/>
      <c r="E51" s="4"/>
      <c r="F51" s="4"/>
      <c r="G51" s="4"/>
      <c r="H51" s="8"/>
      <c r="I51" s="4"/>
      <c r="J51" s="4"/>
      <c r="K51" s="4"/>
    </row>
    <row r="52" spans="1:11" ht="12.75" customHeight="1">
      <c r="A52" s="10" t="s">
        <v>58</v>
      </c>
      <c r="B52" s="10"/>
      <c r="C52" s="11"/>
      <c r="D52" s="11"/>
      <c r="E52" s="10" t="s">
        <v>59</v>
      </c>
      <c r="F52" s="12" t="s">
        <v>60</v>
      </c>
      <c r="G52" s="10" t="s">
        <v>61</v>
      </c>
      <c r="H52" s="12" t="s">
        <v>12</v>
      </c>
      <c r="I52" s="12" t="s">
        <v>62</v>
      </c>
      <c r="J52" s="12" t="s">
        <v>63</v>
      </c>
      <c r="K52" s="12" t="s">
        <v>64</v>
      </c>
    </row>
    <row r="53" spans="1:11" ht="12.75" customHeight="1">
      <c r="A53" s="10"/>
      <c r="B53" s="10"/>
      <c r="C53" s="11"/>
      <c r="D53" s="11"/>
      <c r="E53" s="10">
        <v>25</v>
      </c>
      <c r="F53" s="10">
        <v>0.6</v>
      </c>
      <c r="G53" s="10">
        <v>4.5</v>
      </c>
      <c r="H53" s="12" t="s">
        <v>12</v>
      </c>
      <c r="I53" s="10">
        <f>E53*E53/8/F53+F53/2</f>
        <v>130.50833333333335</v>
      </c>
      <c r="J53" s="10">
        <f>SQRT(I53*G53)</f>
        <v>24.234015350329383</v>
      </c>
      <c r="K53" s="10">
        <f>3.6*J53</f>
        <v>87.24245526118578</v>
      </c>
    </row>
    <row r="54" spans="1:11" ht="12.75" customHeight="1">
      <c r="A54" s="4"/>
      <c r="B54" s="4"/>
      <c r="C54" s="4"/>
      <c r="D54" s="4"/>
      <c r="E54" s="4"/>
      <c r="F54" s="8"/>
      <c r="G54" s="4"/>
      <c r="H54" s="4"/>
      <c r="I54" s="4"/>
      <c r="J54" s="4"/>
      <c r="K54" s="4"/>
    </row>
    <row r="55" spans="1:11" ht="12.75" customHeight="1">
      <c r="A55" s="19" t="s">
        <v>65</v>
      </c>
      <c r="B55" s="20"/>
      <c r="C55" s="15"/>
      <c r="D55" s="21" t="s">
        <v>66</v>
      </c>
      <c r="E55" s="21" t="s">
        <v>67</v>
      </c>
      <c r="F55" s="22" t="s">
        <v>68</v>
      </c>
      <c r="G55" s="21" t="s">
        <v>69</v>
      </c>
      <c r="H55" s="21" t="s">
        <v>12</v>
      </c>
      <c r="I55" s="21" t="s">
        <v>70</v>
      </c>
      <c r="J55" s="21" t="s">
        <v>71</v>
      </c>
      <c r="K55" s="4"/>
    </row>
    <row r="56" spans="1:11" ht="12.75" customHeight="1">
      <c r="A56" s="19" t="s">
        <v>72</v>
      </c>
      <c r="B56" s="20"/>
      <c r="C56" s="15"/>
      <c r="D56" s="20">
        <v>1000</v>
      </c>
      <c r="E56" s="20">
        <v>75</v>
      </c>
      <c r="F56" s="15">
        <v>0.7</v>
      </c>
      <c r="G56" s="20">
        <v>26.96</v>
      </c>
      <c r="H56" s="21" t="s">
        <v>12</v>
      </c>
      <c r="I56" s="23" t="e">
        <f>G56/3.6*(1+"f5c576"*E56/D56)</f>
        <v>#VALUE!</v>
      </c>
      <c r="J56" s="23" t="e">
        <f>3.6*I56</f>
        <v>#VALUE!</v>
      </c>
      <c r="K56" s="4"/>
    </row>
    <row r="57" spans="1:11" ht="12.75" customHeight="1">
      <c r="A57" s="4"/>
      <c r="B57" s="4"/>
      <c r="C57" s="4"/>
      <c r="D57" s="4"/>
      <c r="E57" s="4"/>
      <c r="F57" s="8"/>
      <c r="G57" s="4"/>
      <c r="H57" s="4"/>
      <c r="I57" s="4"/>
      <c r="J57" s="4"/>
      <c r="K57" s="4"/>
    </row>
    <row r="58" spans="1:11" ht="12.75" customHeight="1">
      <c r="A58" s="10" t="s">
        <v>73</v>
      </c>
      <c r="B58" s="11"/>
      <c r="C58" s="11"/>
      <c r="D58" s="10"/>
      <c r="E58" s="12" t="s">
        <v>74</v>
      </c>
      <c r="F58" s="12" t="s">
        <v>75</v>
      </c>
      <c r="G58" s="12" t="s">
        <v>69</v>
      </c>
      <c r="H58" s="12" t="s">
        <v>12</v>
      </c>
      <c r="I58" s="12" t="s">
        <v>70</v>
      </c>
      <c r="J58" s="12" t="s">
        <v>71</v>
      </c>
      <c r="K58" s="10" t="s">
        <v>76</v>
      </c>
    </row>
    <row r="59" spans="1:11" ht="12.75" customHeight="1">
      <c r="A59" s="11"/>
      <c r="B59" s="11"/>
      <c r="C59" s="12" t="s">
        <v>77</v>
      </c>
      <c r="D59" s="10"/>
      <c r="E59" s="24">
        <v>1400</v>
      </c>
      <c r="F59" s="24">
        <v>12</v>
      </c>
      <c r="G59" s="10">
        <v>15</v>
      </c>
      <c r="H59" s="12" t="s">
        <v>12</v>
      </c>
      <c r="I59" s="10">
        <f>E64*(E65*G59/3.6+G60/3.6+SQRT(J66))</f>
        <v>8.202103152531725</v>
      </c>
      <c r="J59" s="10">
        <f aca="true" t="shared" si="0" ref="J59:J60">3.6*I59</f>
        <v>29.52757134911421</v>
      </c>
      <c r="K59" s="10">
        <f aca="true" t="shared" si="1" ref="K59:K60">G59-J59</f>
        <v>-14.527571349114211</v>
      </c>
    </row>
    <row r="60" spans="1:11" ht="12.75" customHeight="1">
      <c r="A60" s="11"/>
      <c r="B60" s="11"/>
      <c r="C60" s="12" t="s">
        <v>78</v>
      </c>
      <c r="D60" s="10"/>
      <c r="E60" s="24">
        <v>1200</v>
      </c>
      <c r="F60" s="24">
        <f>E59/E60*F59</f>
        <v>14</v>
      </c>
      <c r="G60" s="10">
        <v>20</v>
      </c>
      <c r="H60" s="12" t="s">
        <v>12</v>
      </c>
      <c r="I60" s="10">
        <f>(G60+E59/E60*(G59-J59))/3.6</f>
        <v>0.8475463220463197</v>
      </c>
      <c r="J60" s="10">
        <f t="shared" si="0"/>
        <v>3.051166759366751</v>
      </c>
      <c r="K60" s="10">
        <f t="shared" si="1"/>
        <v>16.94883324063325</v>
      </c>
    </row>
    <row r="61" spans="1:11" ht="12.75" customHeight="1">
      <c r="A61" s="11"/>
      <c r="B61" s="11"/>
      <c r="C61" s="10"/>
      <c r="D61" s="10" t="s">
        <v>79</v>
      </c>
      <c r="E61" s="10" t="s">
        <v>80</v>
      </c>
      <c r="F61" s="10"/>
      <c r="G61" s="10"/>
      <c r="H61" s="12" t="s">
        <v>12</v>
      </c>
      <c r="I61" s="10" t="s">
        <v>81</v>
      </c>
      <c r="J61" s="10">
        <f>-(G60-G59)/(J60-J59)</f>
        <v>0.18884739365012443</v>
      </c>
      <c r="K61" s="10"/>
    </row>
    <row r="62" spans="1:11" ht="12.75" customHeight="1">
      <c r="A62" s="10"/>
      <c r="B62" s="10"/>
      <c r="C62" s="10"/>
      <c r="D62" s="10"/>
      <c r="E62" s="10"/>
      <c r="F62" s="12"/>
      <c r="G62" s="10"/>
      <c r="H62" s="10"/>
      <c r="I62" s="10"/>
      <c r="J62" s="10"/>
      <c r="K62" s="10"/>
    </row>
    <row r="63" spans="1:11" ht="12.75" customHeight="1">
      <c r="A63" s="10"/>
      <c r="B63" s="10"/>
      <c r="C63" s="25" t="s">
        <v>82</v>
      </c>
      <c r="D63" s="25" t="s">
        <v>82</v>
      </c>
      <c r="E63" s="10" t="s">
        <v>83</v>
      </c>
      <c r="F63" s="10"/>
      <c r="G63" s="10"/>
      <c r="H63" s="10"/>
      <c r="I63" s="10"/>
      <c r="J63" s="25" t="s">
        <v>82</v>
      </c>
      <c r="K63" s="25" t="s">
        <v>82</v>
      </c>
    </row>
    <row r="64" spans="1:11" ht="12.75" customHeight="1">
      <c r="A64" s="10"/>
      <c r="B64" s="10"/>
      <c r="C64" s="10" t="s">
        <v>84</v>
      </c>
      <c r="D64" s="10"/>
      <c r="E64" s="10">
        <f>E60/(E59+E60)</f>
        <v>0.46153846153846156</v>
      </c>
      <c r="F64" s="10"/>
      <c r="G64" s="10"/>
      <c r="H64" s="10" t="s">
        <v>85</v>
      </c>
      <c r="I64" s="10"/>
      <c r="J64" s="10">
        <f>0.5*(E59*F59*F59/12.96+E60*F60*F60/12.96)</f>
        <v>16851.85185185185</v>
      </c>
      <c r="K64" s="10"/>
    </row>
    <row r="65" spans="1:11" ht="12.75" customHeight="1">
      <c r="A65" s="10"/>
      <c r="B65" s="10"/>
      <c r="C65" s="10" t="s">
        <v>86</v>
      </c>
      <c r="D65" s="10"/>
      <c r="E65" s="10">
        <f>E59/E60</f>
        <v>1.1666666666666667</v>
      </c>
      <c r="F65" s="10"/>
      <c r="G65" s="10"/>
      <c r="H65" s="10" t="s">
        <v>87</v>
      </c>
      <c r="I65" s="10"/>
      <c r="J65" s="10">
        <f>(E59+E60)/(E59*E60)</f>
        <v>0.0015476190476190477</v>
      </c>
      <c r="K65" s="10"/>
    </row>
    <row r="66" spans="1:11" ht="12.75" customHeight="1">
      <c r="A66" s="10"/>
      <c r="B66" s="10"/>
      <c r="C66" s="10" t="s">
        <v>88</v>
      </c>
      <c r="D66" s="10"/>
      <c r="E66" s="10">
        <f>(G59-G60)*(G59-G60)/12.96</f>
        <v>1.9290123456790123</v>
      </c>
      <c r="F66" s="10"/>
      <c r="G66" s="10"/>
      <c r="H66" s="10" t="s">
        <v>89</v>
      </c>
      <c r="I66" s="10"/>
      <c r="J66" s="10">
        <f>E66+2*J64*J65</f>
        <v>54.089506172839506</v>
      </c>
      <c r="K66" s="10"/>
    </row>
  </sheetData>
  <sheetProtection selectLockedCells="1" selectUnlockedCells="1"/>
  <printOptions/>
  <pageMargins left="0.7875" right="0.7083333333333334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2021-05-03T12:25:20Z</dcterms:modified>
  <cp:category/>
  <cp:version/>
  <cp:contentType/>
  <cp:contentStatus/>
  <cp:revision>6</cp:revision>
</cp:coreProperties>
</file>